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0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lannelson/Documents/01-PawnTrain Forms &amp; Programs/Training/000-PawnTrain Training Recordings For Web-site/"/>
    </mc:Choice>
  </mc:AlternateContent>
  <xr:revisionPtr revIDLastSave="0" documentId="13_ncr:1_{F20881BD-1050-1A44-92C0-07760D2C37FD}" xr6:coauthVersionLast="47" xr6:coauthVersionMax="47" xr10:uidLastSave="{00000000-0000-0000-0000-000000000000}"/>
  <bookViews>
    <workbookView xWindow="0" yWindow="600" windowWidth="31200" windowHeight="16480" xr2:uid="{D1A9AFD7-3A35-1040-A758-7805C1CF388C}"/>
  </bookViews>
  <sheets>
    <sheet name="NEHA" sheetId="1" r:id="rId1"/>
    <sheet name="Summary" sheetId="2" r:id="rId2"/>
    <sheet name="Advanced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" i="1" l="1"/>
  <c r="E15" i="1"/>
  <c r="E16" i="3"/>
  <c r="D16" i="3"/>
  <c r="C16" i="3"/>
  <c r="E15" i="3"/>
  <c r="D15" i="3"/>
  <c r="C15" i="3"/>
  <c r="I14" i="3"/>
  <c r="H14" i="3"/>
  <c r="G14" i="3"/>
  <c r="F14" i="3"/>
  <c r="E14" i="3"/>
  <c r="D14" i="3"/>
  <c r="C14" i="3"/>
  <c r="E12" i="1" l="1"/>
  <c r="E13" i="1" s="1"/>
  <c r="C5" i="3" s="1"/>
  <c r="F9" i="3" l="1"/>
  <c r="F10" i="3" s="1"/>
  <c r="E9" i="3"/>
  <c r="E10" i="3" s="1"/>
  <c r="E17" i="1"/>
  <c r="D17" i="3" s="1"/>
  <c r="C3" i="2"/>
  <c r="G17" i="1"/>
  <c r="B17" i="3" s="1"/>
  <c r="E23" i="1" l="1"/>
  <c r="E24" i="1" s="1"/>
  <c r="D23" i="3" s="1"/>
  <c r="E19" i="1"/>
  <c r="C5" i="2"/>
  <c r="G5" i="3" l="1"/>
  <c r="F5" i="3"/>
  <c r="E5" i="3"/>
  <c r="D5" i="3"/>
  <c r="F17" i="3"/>
  <c r="H17" i="3" s="1"/>
  <c r="H5" i="3"/>
  <c r="C7" i="2" s="1"/>
  <c r="D7" i="2" s="1"/>
  <c r="A19" i="3"/>
  <c r="B19" i="3" s="1"/>
  <c r="C23" i="3"/>
  <c r="D9" i="3"/>
  <c r="D10" i="3" s="1"/>
  <c r="E20" i="1"/>
  <c r="A20" i="3" s="1"/>
  <c r="B20" i="3" s="1"/>
  <c r="E21" i="1"/>
  <c r="A21" i="3" s="1"/>
  <c r="B21" i="3" s="1"/>
  <c r="C8" i="2"/>
  <c r="D8" i="2" s="1"/>
  <c r="C9" i="2"/>
  <c r="D9" i="2" s="1"/>
  <c r="C12" i="2" l="1"/>
  <c r="C11" i="2"/>
  <c r="D11" i="2" s="1"/>
  <c r="C14" i="2"/>
  <c r="D14" i="2" s="1"/>
  <c r="C16" i="2"/>
  <c r="D16" i="2" s="1"/>
  <c r="C15" i="2"/>
  <c r="D15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 Office User</author>
  </authors>
  <commentList>
    <comment ref="G19" authorId="0" shapeId="0" xr:uid="{E1C17D27-AC3C-4440-B65F-2AE3491A49E9}">
      <text>
        <r>
          <rPr>
            <b/>
            <sz val="10"/>
            <color rgb="FF000000"/>
            <rFont val="Tahoma"/>
            <family val="2"/>
          </rPr>
          <t xml:space="preserve">PSC for X mos &amp; Drops &amp; You Sell
</t>
        </r>
        <r>
          <rPr>
            <sz val="10"/>
            <color rgb="FF000000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<sst xmlns="http://schemas.openxmlformats.org/spreadsheetml/2006/main" count="85" uniqueCount="84">
  <si>
    <t>PawnTrain NEHA Calculator</t>
  </si>
  <si>
    <t>(patent 
pending)</t>
  </si>
  <si>
    <t>Pawn Shop Retail Sales Price</t>
  </si>
  <si>
    <t>N</t>
  </si>
  <si>
    <t>Need</t>
  </si>
  <si>
    <t>SELECT VALUE HERE</t>
  </si>
  <si>
    <t>E</t>
  </si>
  <si>
    <t>Emotional Attachment</t>
  </si>
  <si>
    <t>H</t>
  </si>
  <si>
    <t>History</t>
  </si>
  <si>
    <t>A</t>
  </si>
  <si>
    <t>Ability To Renew/Redeem</t>
  </si>
  <si>
    <t>Score</t>
  </si>
  <si>
    <t>NEHA Score</t>
  </si>
  <si>
    <t>AVG</t>
  </si>
  <si>
    <t>NEHA Average</t>
  </si>
  <si>
    <t>PSR</t>
  </si>
  <si>
    <t>Loan Amount if 
Avg Were "10" (PSR time pct below)</t>
  </si>
  <si>
    <t>Loan
Amt</t>
  </si>
  <si>
    <t>x % of PSR gives us = LOAN THIS</t>
  </si>
  <si>
    <t xml:space="preserve"> NEHA =</t>
  </si>
  <si>
    <t>PSC</t>
  </si>
  <si>
    <t>Potential Pawn Service Charges Monthly</t>
  </si>
  <si>
    <t>Sales vs
Redemption? After X mos</t>
  </si>
  <si>
    <t>PSC x 2</t>
  </si>
  <si>
    <t>PSC is paid 2 times</t>
  </si>
  <si>
    <t>PSC x 3</t>
  </si>
  <si>
    <t>PSC is paid 3 times</t>
  </si>
  <si>
    <t>SGP</t>
  </si>
  <si>
    <t>Potential Sales Gross Profit</t>
  </si>
  <si>
    <t>SGP %</t>
  </si>
  <si>
    <t>Potential Sales Gross Profit %</t>
  </si>
  <si>
    <t>Monthly 
APR</t>
  </si>
  <si>
    <t>State's Pawn Interest Charge</t>
  </si>
  <si>
    <t>Company Goal for a 10 as a %=</t>
  </si>
  <si>
    <t>PROFIT ON 
TRANSACTION</t>
  </si>
  <si>
    <t>NEHA Avg</t>
  </si>
  <si>
    <t>Loan Amount</t>
  </si>
  <si>
    <t>PSC &amp; REDEEM</t>
  </si>
  <si>
    <t>PSC 1 mo</t>
  </si>
  <si>
    <t>PSC 2 mo</t>
  </si>
  <si>
    <t>PSC 3 mo</t>
  </si>
  <si>
    <t>SALE (NO PSC)</t>
  </si>
  <si>
    <t>SGP $</t>
  </si>
  <si>
    <t>PSC + SALES</t>
  </si>
  <si>
    <t>1 MO + SGP</t>
  </si>
  <si>
    <t>2 MO + SGP</t>
  </si>
  <si>
    <t>3 MO + SGP</t>
  </si>
  <si>
    <t>Overall 
NEHA</t>
  </si>
  <si>
    <t>Potential PSC
5 Mos.</t>
  </si>
  <si>
    <t>Potential PSC
4 Mos.</t>
  </si>
  <si>
    <t>Potential PSC
3 Mos.</t>
  </si>
  <si>
    <t>Potential PSC
2 Mos.</t>
  </si>
  <si>
    <t>Potential PSC
1 Month</t>
  </si>
  <si>
    <t>If Sold at x% or Pawn Shop Retail Price</t>
  </si>
  <si>
    <t>Pawn Shop
Retail %</t>
  </si>
  <si>
    <t>Potential
SGP $</t>
  </si>
  <si>
    <t>Potential SGP 
%</t>
  </si>
  <si>
    <t>INVENTORY 
YIELD</t>
  </si>
  <si>
    <t>TURNS 
PER YEAR</t>
  </si>
  <si>
    <t>12 TIMES 
(SELL 1 MO)</t>
  </si>
  <si>
    <t>10 TIMES 
(SELL  .833 MO)</t>
  </si>
  <si>
    <t>8TIMES 
(SELL .667 MO)</t>
  </si>
  <si>
    <t>6 TIMES 
(SELL .5  MO)</t>
  </si>
  <si>
    <t>4 TIMES 
(SELL .333  MO)</t>
  </si>
  <si>
    <t>2 TIMES 
(SELL  .167  MO)</t>
  </si>
  <si>
    <t>1 TIME
(SELL .1 MO)</t>
  </si>
  <si>
    <t xml:space="preserve"> 25 x12</t>
  </si>
  <si>
    <t xml:space="preserve"> 25 x 10</t>
  </si>
  <si>
    <t>25 x 8</t>
  </si>
  <si>
    <t xml:space="preserve"> 25 x 6</t>
  </si>
  <si>
    <t xml:space="preserve"> 25 x 4</t>
  </si>
  <si>
    <t xml:space="preserve"> 25 x 2</t>
  </si>
  <si>
    <t xml:space="preserve"> 25 x1</t>
  </si>
  <si>
    <t>MARGIN %</t>
  </si>
  <si>
    <t xml:space="preserve">So, you loan </t>
  </si>
  <si>
    <t>of the PSR, 
or</t>
  </si>
  <si>
    <t xml:space="preserve"> &amp; Make 
PSC</t>
  </si>
  <si>
    <t>or for 3 Mos</t>
  </si>
  <si>
    <t>Profit on 
Transaction</t>
  </si>
  <si>
    <t>1 Month</t>
  </si>
  <si>
    <t>2 Months</t>
  </si>
  <si>
    <t>3 Months</t>
  </si>
  <si>
    <t>If it drops, you make SGP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</si>
</sst>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_(&quot;$&quot;* #,##0_);_(&quot;$&quot;* \(#,##0\);_(&quot;$&quot;* &quot;-&quot;??_);_(@_)"/>
    <numFmt numFmtId="166" formatCode="_(* #,##0_);_(* \(#,##0\);_(* &quot;-&quot;??_);_(@_)"/>
  </numFmts>
  <fonts count="23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24"/>
      <color rgb="FFFF0000"/>
      <name val="Calibri"/>
      <family val="2"/>
      <scheme val="minor"/>
    </font>
    <font>
      <sz val="20"/>
      <color theme="1"/>
      <name val="Calibri (Body)"/>
    </font>
    <font>
      <sz val="18"/>
      <color rgb="FFFF0000"/>
      <name val="Calibri"/>
      <family val="2"/>
      <scheme val="minor"/>
    </font>
    <font>
      <sz val="20"/>
      <color rgb="FFFF0000"/>
      <name val="Calibri"/>
      <family val="2"/>
      <scheme val="minor"/>
    </font>
    <font>
      <sz val="22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sz val="10"/>
      <color rgb="FF000000"/>
      <name val="Tahoma"/>
      <family val="2"/>
    </font>
    <font>
      <b/>
      <sz val="10"/>
      <color rgb="FF000000"/>
      <name val="Tahoma"/>
      <family val="2"/>
    </font>
    <font>
      <b/>
      <sz val="12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EBEBEB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92">
    <xf numFmtId="0" fontId="0" fillId="0" borderId="0" xfId="0"/>
    <xf numFmtId="0" fontId="5" fillId="0" borderId="0" xfId="0" applyFont="1"/>
    <xf numFmtId="0" fontId="5" fillId="0" borderId="0" xfId="0" applyFont="1" applyAlignment="1">
      <alignment wrapText="1"/>
    </xf>
    <xf numFmtId="0" fontId="2" fillId="0" borderId="0" xfId="0" applyFont="1"/>
    <xf numFmtId="0" fontId="6" fillId="0" borderId="0" xfId="0" applyFont="1" applyAlignment="1">
      <alignment horizontal="center" vertical="center"/>
    </xf>
    <xf numFmtId="0" fontId="7" fillId="0" borderId="0" xfId="0" applyFont="1"/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164" fontId="5" fillId="0" borderId="0" xfId="0" applyNumberFormat="1" applyFont="1" applyAlignment="1">
      <alignment horizontal="center" vertical="center"/>
    </xf>
    <xf numFmtId="164" fontId="12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42" fontId="0" fillId="0" borderId="0" xfId="1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164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9" fontId="5" fillId="0" borderId="0" xfId="2" applyFont="1" applyAlignment="1">
      <alignment horizontal="center"/>
    </xf>
    <xf numFmtId="0" fontId="9" fillId="0" borderId="0" xfId="0" applyFont="1" applyAlignment="1">
      <alignment horizontal="right"/>
    </xf>
    <xf numFmtId="0" fontId="5" fillId="0" borderId="0" xfId="0" applyFont="1" applyAlignment="1">
      <alignment horizontal="center" vertical="center" wrapText="1"/>
    </xf>
    <xf numFmtId="164" fontId="11" fillId="2" borderId="0" xfId="0" applyNumberFormat="1" applyFont="1" applyFill="1" applyAlignment="1">
      <alignment horizontal="center" vertical="center"/>
    </xf>
    <xf numFmtId="9" fontId="11" fillId="2" borderId="0" xfId="0" applyNumberFormat="1" applyFont="1" applyFill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6" fillId="0" borderId="0" xfId="0" applyFont="1" applyAlignment="1">
      <alignment horizontal="center"/>
    </xf>
    <xf numFmtId="9" fontId="10" fillId="0" borderId="0" xfId="2" applyFont="1" applyAlignment="1">
      <alignment horizontal="center" vertical="center"/>
    </xf>
    <xf numFmtId="164" fontId="5" fillId="2" borderId="0" xfId="0" applyNumberFormat="1" applyFont="1" applyFill="1" applyAlignment="1">
      <alignment horizontal="center"/>
    </xf>
    <xf numFmtId="164" fontId="5" fillId="2" borderId="0" xfId="2" applyNumberFormat="1" applyFont="1" applyFill="1" applyAlignment="1">
      <alignment horizontal="center"/>
    </xf>
    <xf numFmtId="0" fontId="11" fillId="0" borderId="0" xfId="0" applyFont="1" applyAlignment="1">
      <alignment horizontal="center" vertical="center" wrapText="1"/>
    </xf>
    <xf numFmtId="0" fontId="6" fillId="0" borderId="9" xfId="0" applyFont="1" applyBorder="1" applyAlignment="1">
      <alignment horizontal="center" vertical="center"/>
    </xf>
    <xf numFmtId="0" fontId="5" fillId="0" borderId="10" xfId="0" applyFont="1" applyBorder="1"/>
    <xf numFmtId="164" fontId="5" fillId="2" borderId="10" xfId="0" applyNumberFormat="1" applyFont="1" applyFill="1" applyBorder="1" applyAlignment="1">
      <alignment horizontal="center"/>
    </xf>
    <xf numFmtId="0" fontId="0" fillId="0" borderId="11" xfId="0" applyBorder="1"/>
    <xf numFmtId="164" fontId="0" fillId="0" borderId="12" xfId="0" applyNumberFormat="1" applyBorder="1" applyAlignment="1">
      <alignment horizontal="center" vertical="center"/>
    </xf>
    <xf numFmtId="9" fontId="0" fillId="0" borderId="13" xfId="2" applyFont="1" applyBorder="1" applyAlignment="1">
      <alignment horizontal="center" vertical="center"/>
    </xf>
    <xf numFmtId="164" fontId="0" fillId="0" borderId="14" xfId="0" applyNumberFormat="1" applyBorder="1" applyAlignment="1">
      <alignment horizontal="center" vertical="center"/>
    </xf>
    <xf numFmtId="9" fontId="0" fillId="0" borderId="15" xfId="2" applyFont="1" applyBorder="1" applyAlignment="1">
      <alignment horizontal="center" vertical="center"/>
    </xf>
    <xf numFmtId="164" fontId="0" fillId="0" borderId="16" xfId="0" applyNumberFormat="1" applyBorder="1" applyAlignment="1">
      <alignment horizontal="center" vertical="center"/>
    </xf>
    <xf numFmtId="9" fontId="0" fillId="0" borderId="17" xfId="2" applyFont="1" applyBorder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5" fillId="0" borderId="2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11" fillId="0" borderId="0" xfId="0" applyFont="1"/>
    <xf numFmtId="0" fontId="11" fillId="0" borderId="0" xfId="0" applyFont="1" applyAlignment="1">
      <alignment horizontal="center" vertical="center"/>
    </xf>
    <xf numFmtId="42" fontId="11" fillId="0" borderId="0" xfId="1" applyNumberFormat="1" applyFont="1" applyAlignment="1">
      <alignment horizontal="center" vertical="center"/>
    </xf>
    <xf numFmtId="42" fontId="11" fillId="0" borderId="0" xfId="0" applyNumberFormat="1" applyFont="1" applyAlignment="1">
      <alignment horizontal="center" vertical="center"/>
    </xf>
    <xf numFmtId="9" fontId="11" fillId="0" borderId="0" xfId="2" applyFont="1"/>
    <xf numFmtId="9" fontId="11" fillId="0" borderId="0" xfId="0" applyNumberFormat="1" applyFont="1" applyAlignment="1">
      <alignment horizontal="center" vertical="center"/>
    </xf>
    <xf numFmtId="165" fontId="11" fillId="0" borderId="0" xfId="1" applyNumberFormat="1" applyFont="1" applyAlignment="1">
      <alignment horizontal="center" vertical="center"/>
    </xf>
    <xf numFmtId="9" fontId="19" fillId="5" borderId="0" xfId="2" applyFont="1" applyFill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9" fontId="5" fillId="0" borderId="0" xfId="2" applyFont="1" applyAlignment="1">
      <alignment horizontal="center" vertical="center"/>
    </xf>
    <xf numFmtId="0" fontId="0" fillId="0" borderId="10" xfId="0" applyBorder="1" applyAlignment="1">
      <alignment wrapText="1"/>
    </xf>
    <xf numFmtId="0" fontId="9" fillId="2" borderId="0" xfId="0" applyFont="1" applyFill="1" applyAlignment="1">
      <alignment horizontal="center" vertical="center" wrapText="1"/>
    </xf>
    <xf numFmtId="164" fontId="21" fillId="0" borderId="0" xfId="0" applyNumberFormat="1" applyFont="1" applyAlignment="1">
      <alignment horizontal="right" wrapText="1"/>
    </xf>
    <xf numFmtId="0" fontId="5" fillId="0" borderId="7" xfId="0" applyFont="1" applyBorder="1" applyAlignment="1">
      <alignment vertical="center"/>
    </xf>
    <xf numFmtId="164" fontId="13" fillId="2" borderId="18" xfId="0" applyNumberFormat="1" applyFont="1" applyFill="1" applyBorder="1" applyAlignment="1">
      <alignment horizontal="center" vertical="center"/>
    </xf>
    <xf numFmtId="0" fontId="0" fillId="2" borderId="4" xfId="0" applyFill="1" applyBorder="1"/>
    <xf numFmtId="0" fontId="0" fillId="6" borderId="4" xfId="0" applyFill="1" applyBorder="1"/>
    <xf numFmtId="0" fontId="0" fillId="6" borderId="0" xfId="0" applyFill="1"/>
    <xf numFmtId="0" fontId="0" fillId="6" borderId="0" xfId="0" applyFill="1" applyAlignment="1">
      <alignment horizontal="center" vertical="center"/>
    </xf>
    <xf numFmtId="0" fontId="0" fillId="6" borderId="6" xfId="0" applyFill="1" applyBorder="1"/>
    <xf numFmtId="166" fontId="0" fillId="2" borderId="0" xfId="3" applyNumberFormat="1" applyFont="1" applyFill="1" applyBorder="1" applyAlignment="1">
      <alignment horizontal="center" vertical="center"/>
    </xf>
    <xf numFmtId="0" fontId="0" fillId="7" borderId="10" xfId="0" applyFill="1" applyBorder="1" applyAlignment="1">
      <alignment horizontal="center" vertical="center" wrapText="1"/>
    </xf>
    <xf numFmtId="0" fontId="0" fillId="7" borderId="10" xfId="0" applyFill="1" applyBorder="1" applyAlignment="1">
      <alignment wrapText="1"/>
    </xf>
    <xf numFmtId="166" fontId="0" fillId="2" borderId="7" xfId="3" applyNumberFormat="1" applyFont="1" applyFill="1" applyBorder="1" applyAlignment="1">
      <alignment horizontal="center" vertical="center"/>
    </xf>
    <xf numFmtId="0" fontId="21" fillId="7" borderId="10" xfId="0" applyFont="1" applyFill="1" applyBorder="1" applyAlignment="1">
      <alignment wrapText="1"/>
    </xf>
    <xf numFmtId="0" fontId="21" fillId="7" borderId="11" xfId="0" applyFont="1" applyFill="1" applyBorder="1" applyAlignment="1">
      <alignment wrapText="1"/>
    </xf>
    <xf numFmtId="0" fontId="0" fillId="8" borderId="9" xfId="0" applyFill="1" applyBorder="1" applyAlignment="1">
      <alignment horizontal="center" vertical="center" wrapText="1"/>
    </xf>
    <xf numFmtId="9" fontId="0" fillId="8" borderId="0" xfId="2" applyFont="1" applyFill="1" applyBorder="1" applyAlignment="1">
      <alignment horizontal="center" vertical="center"/>
    </xf>
    <xf numFmtId="9" fontId="1" fillId="8" borderId="0" xfId="2" applyFont="1" applyFill="1" applyBorder="1" applyAlignment="1">
      <alignment horizontal="center" vertical="center"/>
    </xf>
    <xf numFmtId="9" fontId="0" fillId="8" borderId="5" xfId="2" applyFont="1" applyFill="1" applyBorder="1" applyAlignment="1">
      <alignment horizontal="center" vertical="center"/>
    </xf>
    <xf numFmtId="9" fontId="0" fillId="8" borderId="7" xfId="2" applyFont="1" applyFill="1" applyBorder="1" applyAlignment="1">
      <alignment horizontal="center" vertical="center"/>
    </xf>
    <xf numFmtId="9" fontId="0" fillId="8" borderId="8" xfId="2" applyFont="1" applyFill="1" applyBorder="1" applyAlignment="1">
      <alignment horizontal="center" vertical="center"/>
    </xf>
    <xf numFmtId="0" fontId="0" fillId="6" borderId="5" xfId="0" applyFill="1" applyBorder="1" applyAlignment="1">
      <alignment horizontal="center" vertical="center"/>
    </xf>
    <xf numFmtId="164" fontId="5" fillId="3" borderId="0" xfId="0" applyNumberFormat="1" applyFont="1" applyFill="1" applyAlignment="1" applyProtection="1">
      <alignment horizontal="center"/>
      <protection locked="0"/>
    </xf>
    <xf numFmtId="0" fontId="20" fillId="4" borderId="3" xfId="0" applyFont="1" applyFill="1" applyBorder="1" applyAlignment="1" applyProtection="1">
      <alignment horizontal="center" vertical="center"/>
      <protection locked="0"/>
    </xf>
    <xf numFmtId="0" fontId="20" fillId="4" borderId="5" xfId="0" applyFont="1" applyFill="1" applyBorder="1" applyAlignment="1" applyProtection="1">
      <alignment horizontal="center" vertical="center"/>
      <protection locked="0"/>
    </xf>
    <xf numFmtId="0" fontId="20" fillId="4" borderId="8" xfId="0" applyFont="1" applyFill="1" applyBorder="1" applyAlignment="1" applyProtection="1">
      <alignment horizontal="center" vertical="center"/>
      <protection locked="0"/>
    </xf>
    <xf numFmtId="9" fontId="5" fillId="2" borderId="0" xfId="2" applyFont="1" applyFill="1" applyAlignment="1" applyProtection="1">
      <alignment horizontal="center"/>
      <protection locked="0"/>
    </xf>
    <xf numFmtId="0" fontId="8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9" fontId="10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wrapText="1"/>
    </xf>
    <xf numFmtId="0" fontId="22" fillId="2" borderId="4" xfId="0" applyFont="1" applyFill="1" applyBorder="1" applyAlignment="1">
      <alignment horizontal="center" vertical="center" textRotation="255"/>
    </xf>
    <xf numFmtId="0" fontId="15" fillId="0" borderId="0" xfId="0" applyFont="1" applyAlignment="1">
      <alignment horizontal="center"/>
    </xf>
  </cellXfs>
  <cellStyles count="4">
    <cellStyle name="Comma" xfId="3" builtinId="3"/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EBEB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88900</xdr:colOff>
      <xdr:row>1</xdr:row>
      <xdr:rowOff>355600</xdr:rowOff>
    </xdr:from>
    <xdr:to>
      <xdr:col>3</xdr:col>
      <xdr:colOff>1079500</xdr:colOff>
      <xdr:row>3</xdr:row>
      <xdr:rowOff>495300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9BE7607-CD9B-0232-6F7B-338640373F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5300" y="774700"/>
          <a:ext cx="1968500" cy="9779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990600</xdr:colOff>
      <xdr:row>30</xdr:row>
      <xdr:rowOff>139700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9BD9A59-5CBE-EA42-A77D-CE0EC0875B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6400" y="13919200"/>
          <a:ext cx="1968500" cy="9779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16934</xdr:colOff>
      <xdr:row>2</xdr:row>
      <xdr:rowOff>203200</xdr:rowOff>
    </xdr:from>
    <xdr:to>
      <xdr:col>1</xdr:col>
      <xdr:colOff>283634</xdr:colOff>
      <xdr:row>5</xdr:row>
      <xdr:rowOff>266700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5E27A9F-F03C-A940-A54C-D6875BEA60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34" y="1464733"/>
          <a:ext cx="1968500" cy="9779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2</xdr:col>
      <xdr:colOff>292100</xdr:colOff>
      <xdr:row>5</xdr:row>
      <xdr:rowOff>127000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58F41E7-61CB-6C4E-BFE9-237E60E2A2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36600"/>
          <a:ext cx="1968500" cy="977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EF6611-02C1-A845-BE71-CCE59967C453}">
  <dimension ref="C1:G36"/>
  <sheetViews>
    <sheetView showGridLines="0" showRowColHeaders="0" tabSelected="1" zoomScaleNormal="100" workbookViewId="0">
      <selection activeCell="E8" sqref="E8"/>
    </sheetView>
  </sheetViews>
  <sheetFormatPr baseColWidth="10" defaultColWidth="11" defaultRowHeight="31" x14ac:dyDescent="0.25"/>
  <cols>
    <col min="3" max="3" width="12.83203125" style="4" bestFit="1" customWidth="1"/>
    <col min="4" max="4" width="46" bestFit="1" customWidth="1"/>
    <col min="5" max="5" width="8.5" style="19" bestFit="1" customWidth="1"/>
  </cols>
  <sheetData>
    <row r="1" spans="3:6" ht="33" customHeight="1" x14ac:dyDescent="0.25"/>
    <row r="2" spans="3:6" s="11" customFormat="1" ht="33" customHeight="1" x14ac:dyDescent="0.2">
      <c r="C2" s="4"/>
      <c r="E2" s="8"/>
    </row>
    <row r="3" spans="3:6" s="28" customFormat="1" ht="33" customHeight="1" x14ac:dyDescent="0.2">
      <c r="C3" s="27"/>
      <c r="E3" s="9"/>
    </row>
    <row r="4" spans="3:6" ht="48" customHeight="1" x14ac:dyDescent="0.2">
      <c r="D4" s="14" t="s">
        <v>0</v>
      </c>
      <c r="E4" s="59" t="s">
        <v>1</v>
      </c>
    </row>
    <row r="5" spans="3:6" ht="33" customHeight="1" x14ac:dyDescent="0.25">
      <c r="D5" s="15" t="s">
        <v>2</v>
      </c>
      <c r="E5" s="80">
        <v>1000</v>
      </c>
    </row>
    <row r="6" spans="3:6" ht="11" customHeight="1" thickBot="1" x14ac:dyDescent="0.3">
      <c r="D6" s="1"/>
    </row>
    <row r="7" spans="3:6" ht="33" customHeight="1" x14ac:dyDescent="0.2">
      <c r="C7" s="16" t="s">
        <v>3</v>
      </c>
      <c r="D7" s="45" t="s">
        <v>4</v>
      </c>
      <c r="E7" s="81">
        <v>8</v>
      </c>
      <c r="F7" s="90" t="s">
        <v>5</v>
      </c>
    </row>
    <row r="8" spans="3:6" ht="61" customHeight="1" x14ac:dyDescent="0.2">
      <c r="C8" s="17" t="s">
        <v>6</v>
      </c>
      <c r="D8" s="46" t="s">
        <v>7</v>
      </c>
      <c r="E8" s="82">
        <v>8</v>
      </c>
      <c r="F8" s="90"/>
    </row>
    <row r="9" spans="3:6" ht="57" customHeight="1" x14ac:dyDescent="0.2">
      <c r="C9" s="17" t="s">
        <v>8</v>
      </c>
      <c r="D9" s="46" t="s">
        <v>9</v>
      </c>
      <c r="E9" s="82">
        <v>8</v>
      </c>
      <c r="F9" s="90"/>
    </row>
    <row r="10" spans="3:6" ht="90" customHeight="1" thickBot="1" x14ac:dyDescent="0.25">
      <c r="C10" s="18" t="s">
        <v>10</v>
      </c>
      <c r="D10" s="60" t="s">
        <v>11</v>
      </c>
      <c r="E10" s="83">
        <v>8</v>
      </c>
      <c r="F10" s="90"/>
    </row>
    <row r="11" spans="3:6" ht="16" customHeight="1" x14ac:dyDescent="0.25">
      <c r="D11" s="1"/>
      <c r="E11" s="20"/>
    </row>
    <row r="12" spans="3:6" ht="45" customHeight="1" x14ac:dyDescent="0.25">
      <c r="C12" s="4" t="s">
        <v>12</v>
      </c>
      <c r="D12" s="1" t="s">
        <v>13</v>
      </c>
      <c r="E12" s="20">
        <f>SUM(E7:E10)</f>
        <v>32</v>
      </c>
    </row>
    <row r="13" spans="3:6" ht="33" customHeight="1" x14ac:dyDescent="0.25">
      <c r="C13" s="4" t="s">
        <v>14</v>
      </c>
      <c r="D13" s="1" t="s">
        <v>15</v>
      </c>
      <c r="E13" s="20">
        <f>E12/4</f>
        <v>8</v>
      </c>
    </row>
    <row r="14" spans="3:6" ht="33" customHeight="1" x14ac:dyDescent="0.25"/>
    <row r="15" spans="3:6" ht="51" customHeight="1" x14ac:dyDescent="0.25">
      <c r="C15" s="4" t="s">
        <v>16</v>
      </c>
      <c r="D15" s="2" t="s">
        <v>17</v>
      </c>
      <c r="E15" s="19">
        <f>E28*E5</f>
        <v>770</v>
      </c>
    </row>
    <row r="16" spans="3:6" ht="33" customHeight="1" x14ac:dyDescent="0.25">
      <c r="D16" s="87">
        <f>E28</f>
        <v>0.77</v>
      </c>
    </row>
    <row r="17" spans="3:7" ht="57" customHeight="1" x14ac:dyDescent="0.55000000000000004">
      <c r="C17" s="6" t="s">
        <v>18</v>
      </c>
      <c r="D17" s="5" t="s">
        <v>19</v>
      </c>
      <c r="E17" s="31">
        <f>(E13/10)*E15</f>
        <v>616</v>
      </c>
      <c r="F17" s="22" t="s">
        <v>20</v>
      </c>
      <c r="G17" s="29">
        <f>E13</f>
        <v>8</v>
      </c>
    </row>
    <row r="18" spans="3:7" ht="33" customHeight="1" thickBot="1" x14ac:dyDescent="0.3"/>
    <row r="19" spans="3:7" ht="47" customHeight="1" thickBot="1" x14ac:dyDescent="0.3">
      <c r="C19" s="34" t="s">
        <v>21</v>
      </c>
      <c r="D19" s="35" t="s">
        <v>22</v>
      </c>
      <c r="E19" s="36">
        <f>E26*E17</f>
        <v>154</v>
      </c>
      <c r="F19" s="37"/>
      <c r="G19" s="88" t="s">
        <v>23</v>
      </c>
    </row>
    <row r="20" spans="3:7" ht="33" customHeight="1" thickBot="1" x14ac:dyDescent="0.3">
      <c r="C20" s="34" t="s">
        <v>24</v>
      </c>
      <c r="D20" s="35" t="s">
        <v>25</v>
      </c>
      <c r="E20" s="36">
        <f>E19*2</f>
        <v>308</v>
      </c>
      <c r="F20" s="37"/>
      <c r="G20" s="89"/>
    </row>
    <row r="21" spans="3:7" ht="33" customHeight="1" thickBot="1" x14ac:dyDescent="0.3">
      <c r="C21" s="34" t="s">
        <v>26</v>
      </c>
      <c r="D21" s="35" t="s">
        <v>27</v>
      </c>
      <c r="E21" s="36">
        <f>E19*3</f>
        <v>462</v>
      </c>
      <c r="F21" s="37"/>
      <c r="G21" s="89"/>
    </row>
    <row r="22" spans="3:7" ht="33" customHeight="1" x14ac:dyDescent="0.25">
      <c r="D22" s="1"/>
    </row>
    <row r="23" spans="3:7" ht="33" customHeight="1" x14ac:dyDescent="0.25">
      <c r="C23" s="4" t="s">
        <v>28</v>
      </c>
      <c r="D23" s="1" t="s">
        <v>29</v>
      </c>
      <c r="E23" s="32">
        <f>E5-E17</f>
        <v>384</v>
      </c>
    </row>
    <row r="24" spans="3:7" ht="33" customHeight="1" x14ac:dyDescent="0.25">
      <c r="C24" s="4" t="s">
        <v>30</v>
      </c>
      <c r="D24" t="s">
        <v>31</v>
      </c>
      <c r="E24" s="21">
        <f>E23/$E$15</f>
        <v>0.4987012987012987</v>
      </c>
    </row>
    <row r="25" spans="3:7" ht="33" customHeight="1" x14ac:dyDescent="0.25"/>
    <row r="26" spans="3:7" ht="52" customHeight="1" x14ac:dyDescent="0.25">
      <c r="C26" s="58" t="s">
        <v>32</v>
      </c>
      <c r="D26" s="44" t="s">
        <v>33</v>
      </c>
      <c r="E26" s="84">
        <v>0.25</v>
      </c>
    </row>
    <row r="27" spans="3:7" ht="33" customHeight="1" x14ac:dyDescent="0.25"/>
    <row r="28" spans="3:7" ht="33" customHeight="1" x14ac:dyDescent="0.25">
      <c r="C28" s="86" t="s">
        <v>34</v>
      </c>
      <c r="E28" s="84">
        <v>0.77</v>
      </c>
    </row>
    <row r="29" spans="3:7" ht="33" customHeight="1" x14ac:dyDescent="0.25"/>
    <row r="30" spans="3:7" ht="33" customHeight="1" x14ac:dyDescent="0.25"/>
    <row r="31" spans="3:7" ht="33" customHeight="1" x14ac:dyDescent="0.25"/>
    <row r="32" spans="3:7" ht="33" customHeight="1" x14ac:dyDescent="0.25"/>
    <row r="33" ht="33" customHeight="1" x14ac:dyDescent="0.25"/>
    <row r="34" ht="33" customHeight="1" x14ac:dyDescent="0.25"/>
    <row r="35" ht="33" customHeight="1" x14ac:dyDescent="0.25"/>
    <row r="36" ht="33" customHeight="1" x14ac:dyDescent="0.25"/>
  </sheetData>
  <sheetProtection selectLockedCells="1"/>
  <mergeCells count="2">
    <mergeCell ref="G19:G21"/>
    <mergeCell ref="F7:F10"/>
  </mergeCells>
  <pageMargins left="0.7" right="0.7" top="0.75" bottom="0.75" header="0.3" footer="0.3"/>
  <pageSetup orientation="portrait" horizontalDpi="0" verticalDpi="0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84E6A8-7122-E44F-94D1-CF07B304F94E}">
  <dimension ref="A1:E16"/>
  <sheetViews>
    <sheetView zoomScale="150" zoomScaleNormal="150" workbookViewId="0">
      <selection activeCell="A3" sqref="A3"/>
    </sheetView>
  </sheetViews>
  <sheetFormatPr baseColWidth="10" defaultColWidth="11" defaultRowHeight="16" x14ac:dyDescent="0.2"/>
  <cols>
    <col min="1" max="1" width="22.33203125" customWidth="1"/>
    <col min="2" max="2" width="17.6640625" bestFit="1" customWidth="1"/>
    <col min="3" max="3" width="12.5" style="11" bestFit="1" customWidth="1"/>
    <col min="4" max="4" width="19" customWidth="1"/>
  </cols>
  <sheetData>
    <row r="1" spans="1:5" ht="24" x14ac:dyDescent="0.3">
      <c r="A1" s="47"/>
      <c r="B1" s="47"/>
      <c r="C1" s="48"/>
      <c r="D1" s="47"/>
      <c r="E1" s="47"/>
    </row>
    <row r="2" spans="1:5" ht="75" x14ac:dyDescent="0.3">
      <c r="A2" s="47"/>
      <c r="B2" s="47"/>
      <c r="C2" s="48"/>
      <c r="D2" s="33" t="s">
        <v>35</v>
      </c>
      <c r="E2" s="47"/>
    </row>
    <row r="3" spans="1:5" ht="24" x14ac:dyDescent="0.3">
      <c r="A3" s="47"/>
      <c r="B3" s="47" t="s">
        <v>36</v>
      </c>
      <c r="C3" s="48">
        <f>NEHA!E13</f>
        <v>8</v>
      </c>
      <c r="D3" s="47"/>
      <c r="E3" s="47"/>
    </row>
    <row r="4" spans="1:5" ht="24" x14ac:dyDescent="0.3">
      <c r="A4" s="47"/>
      <c r="B4" s="47"/>
      <c r="C4" s="48"/>
      <c r="D4" s="47"/>
      <c r="E4" s="47"/>
    </row>
    <row r="5" spans="1:5" ht="24" x14ac:dyDescent="0.3">
      <c r="A5" s="47"/>
      <c r="B5" s="47" t="s">
        <v>37</v>
      </c>
      <c r="C5" s="49">
        <f>NEHA!E17</f>
        <v>616</v>
      </c>
      <c r="D5" s="47"/>
      <c r="E5" s="47"/>
    </row>
    <row r="6" spans="1:5" ht="24" x14ac:dyDescent="0.3">
      <c r="A6" s="47"/>
      <c r="B6" s="47"/>
      <c r="C6" s="48"/>
      <c r="D6" s="47"/>
      <c r="E6" s="47"/>
    </row>
    <row r="7" spans="1:5" ht="24" x14ac:dyDescent="0.3">
      <c r="A7" s="89" t="s">
        <v>38</v>
      </c>
      <c r="B7" s="47" t="s">
        <v>39</v>
      </c>
      <c r="C7" s="50">
        <f>Advanced!H5</f>
        <v>154</v>
      </c>
      <c r="D7" s="51">
        <f>C7/$C$5</f>
        <v>0.25</v>
      </c>
      <c r="E7" s="47"/>
    </row>
    <row r="8" spans="1:5" ht="24" x14ac:dyDescent="0.3">
      <c r="A8" s="89"/>
      <c r="B8" s="47" t="s">
        <v>40</v>
      </c>
      <c r="C8" s="50">
        <f>Advanced!G5</f>
        <v>308</v>
      </c>
      <c r="D8" s="51">
        <f t="shared" ref="D8:D9" si="0">C8/$C$5</f>
        <v>0.5</v>
      </c>
      <c r="E8" s="47"/>
    </row>
    <row r="9" spans="1:5" ht="24" x14ac:dyDescent="0.3">
      <c r="A9" s="89"/>
      <c r="B9" s="47" t="s">
        <v>41</v>
      </c>
      <c r="C9" s="50">
        <f>Advanced!F5</f>
        <v>462</v>
      </c>
      <c r="D9" s="51">
        <f t="shared" si="0"/>
        <v>0.75</v>
      </c>
      <c r="E9" s="47"/>
    </row>
    <row r="10" spans="1:5" ht="24" x14ac:dyDescent="0.3">
      <c r="A10" s="47"/>
      <c r="B10" s="47"/>
      <c r="C10" s="48"/>
      <c r="D10" s="47"/>
      <c r="E10" s="47"/>
    </row>
    <row r="11" spans="1:5" ht="24" x14ac:dyDescent="0.3">
      <c r="A11" s="89" t="s">
        <v>42</v>
      </c>
      <c r="B11" s="47" t="s">
        <v>43</v>
      </c>
      <c r="C11" s="50">
        <f>Advanced!D9</f>
        <v>384</v>
      </c>
      <c r="D11" s="51">
        <f>C11/$C$5</f>
        <v>0.62337662337662336</v>
      </c>
      <c r="E11" s="47"/>
    </row>
    <row r="12" spans="1:5" ht="24" x14ac:dyDescent="0.3">
      <c r="A12" s="89"/>
      <c r="B12" s="47" t="s">
        <v>30</v>
      </c>
      <c r="C12" s="52">
        <f>Advanced!D10</f>
        <v>0.4987012987012987</v>
      </c>
      <c r="D12" s="47"/>
      <c r="E12" s="47"/>
    </row>
    <row r="13" spans="1:5" ht="24" x14ac:dyDescent="0.3">
      <c r="A13" s="47"/>
      <c r="B13" s="47"/>
      <c r="C13" s="48"/>
      <c r="D13" s="47"/>
      <c r="E13" s="47"/>
    </row>
    <row r="14" spans="1:5" ht="24" x14ac:dyDescent="0.3">
      <c r="A14" s="88" t="s">
        <v>44</v>
      </c>
      <c r="B14" s="47" t="s">
        <v>45</v>
      </c>
      <c r="C14" s="53">
        <f>Advanced!A19</f>
        <v>538</v>
      </c>
      <c r="D14" s="51">
        <f t="shared" ref="D14:D16" si="1">C14/$C$5</f>
        <v>0.87337662337662336</v>
      </c>
      <c r="E14" s="47"/>
    </row>
    <row r="15" spans="1:5" ht="24" x14ac:dyDescent="0.3">
      <c r="A15" s="88"/>
      <c r="B15" s="47" t="s">
        <v>46</v>
      </c>
      <c r="C15" s="53">
        <f>Advanced!A20</f>
        <v>692</v>
      </c>
      <c r="D15" s="51">
        <f t="shared" si="1"/>
        <v>1.1233766233766234</v>
      </c>
      <c r="E15" s="47"/>
    </row>
    <row r="16" spans="1:5" ht="24" x14ac:dyDescent="0.3">
      <c r="A16" s="88"/>
      <c r="B16" s="47" t="s">
        <v>47</v>
      </c>
      <c r="C16" s="53">
        <f>Advanced!A21</f>
        <v>846</v>
      </c>
      <c r="D16" s="51">
        <f t="shared" si="1"/>
        <v>1.3733766233766234</v>
      </c>
      <c r="E16" s="47"/>
    </row>
  </sheetData>
  <sheetProtection algorithmName="SHA-512" hashValue="YEUq1fMtHMBK45aST4n4+h2nnKzwVuxRLU5NTFdeQPB8FP6pE8fNu+QZHSJBxLI7GzSi9iFL1p6F9TrXr4QCsg==" saltValue="1PYJ7szFCJT7kCu1DVa4DQ==" spinCount="100000" sheet="1" objects="1" scenarios="1"/>
  <mergeCells count="3">
    <mergeCell ref="A7:A9"/>
    <mergeCell ref="A11:A12"/>
    <mergeCell ref="A14:A16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154A38-FF88-8E4F-9582-E7E3FF13E470}">
  <dimension ref="A2:J23"/>
  <sheetViews>
    <sheetView workbookViewId="0">
      <selection activeCell="I9" sqref="I9"/>
    </sheetView>
  </sheetViews>
  <sheetFormatPr baseColWidth="10" defaultColWidth="11" defaultRowHeight="16" x14ac:dyDescent="0.2"/>
  <cols>
    <col min="3" max="3" width="13.83203125" style="11" customWidth="1"/>
    <col min="4" max="4" width="12.5" bestFit="1" customWidth="1"/>
  </cols>
  <sheetData>
    <row r="2" spans="1:10" x14ac:dyDescent="0.2">
      <c r="A2" s="11"/>
      <c r="B2" s="11"/>
      <c r="D2" s="11"/>
      <c r="E2" s="11"/>
      <c r="F2" s="11"/>
      <c r="G2" s="11"/>
      <c r="H2" s="11"/>
      <c r="I2" s="11"/>
      <c r="J2" s="11"/>
    </row>
    <row r="3" spans="1:10" ht="26" x14ac:dyDescent="0.2">
      <c r="A3" s="28"/>
      <c r="B3" s="28"/>
      <c r="C3" s="28"/>
      <c r="D3" s="28">
        <v>5</v>
      </c>
      <c r="E3" s="28">
        <v>4</v>
      </c>
      <c r="F3" s="28">
        <v>3</v>
      </c>
      <c r="G3" s="28">
        <v>2</v>
      </c>
      <c r="H3" s="28">
        <v>1</v>
      </c>
      <c r="I3" s="28"/>
      <c r="J3" s="28"/>
    </row>
    <row r="4" spans="1:10" ht="51" x14ac:dyDescent="0.2">
      <c r="C4" s="13" t="s">
        <v>48</v>
      </c>
      <c r="D4" s="13" t="s">
        <v>49</v>
      </c>
      <c r="E4" s="13" t="s">
        <v>50</v>
      </c>
      <c r="F4" s="13" t="s">
        <v>51</v>
      </c>
      <c r="G4" s="13" t="s">
        <v>52</v>
      </c>
      <c r="H4" s="13" t="s">
        <v>53</v>
      </c>
    </row>
    <row r="5" spans="1:10" x14ac:dyDescent="0.2">
      <c r="C5" s="11">
        <f>NEHA!E13</f>
        <v>8</v>
      </c>
      <c r="D5" s="12">
        <f>NEHA!E19*D3</f>
        <v>770</v>
      </c>
      <c r="E5" s="12">
        <f>NEHA!$E19*E3</f>
        <v>616</v>
      </c>
      <c r="F5" s="12">
        <f>NEHA!$E19*F3</f>
        <v>462</v>
      </c>
      <c r="G5" s="12">
        <f>NEHA!$E19*G3</f>
        <v>308</v>
      </c>
      <c r="H5" s="12">
        <f>NEHA!$E19*H3</f>
        <v>154</v>
      </c>
    </row>
    <row r="7" spans="1:10" ht="24" x14ac:dyDescent="0.3">
      <c r="C7" s="10"/>
      <c r="D7" s="91" t="s">
        <v>54</v>
      </c>
      <c r="E7" s="91"/>
      <c r="F7" s="91"/>
      <c r="G7" s="91"/>
      <c r="H7" s="91"/>
    </row>
    <row r="8" spans="1:10" ht="34" x14ac:dyDescent="0.2">
      <c r="C8" s="13" t="s">
        <v>55</v>
      </c>
      <c r="D8" s="54">
        <v>1</v>
      </c>
      <c r="E8" s="54">
        <v>0.9</v>
      </c>
      <c r="F8" s="54">
        <v>0.8</v>
      </c>
    </row>
    <row r="9" spans="1:10" ht="34" x14ac:dyDescent="0.2">
      <c r="C9" s="13" t="s">
        <v>56</v>
      </c>
      <c r="D9" s="55">
        <f>NEHA!E23</f>
        <v>384</v>
      </c>
      <c r="E9" s="55">
        <f>$E$8*NEHA!$E$5-NEHA!$E$15</f>
        <v>130</v>
      </c>
      <c r="F9" s="55">
        <f>$F$8*NEHA!$E$5-NEHA!$E$15</f>
        <v>30</v>
      </c>
    </row>
    <row r="10" spans="1:10" ht="34" x14ac:dyDescent="0.2">
      <c r="C10" s="13" t="s">
        <v>57</v>
      </c>
      <c r="D10" s="56">
        <f>D9/NEHA!$E$15</f>
        <v>0.4987012987012987</v>
      </c>
      <c r="E10" s="56">
        <f>E9/NEHA!$E$15</f>
        <v>0.16883116883116883</v>
      </c>
      <c r="F10" s="56">
        <f>F9/NEHA!$E$15</f>
        <v>3.896103896103896E-2</v>
      </c>
    </row>
    <row r="11" spans="1:10" ht="17" thickBot="1" x14ac:dyDescent="0.25"/>
    <row r="12" spans="1:10" ht="46" thickBot="1" x14ac:dyDescent="0.25">
      <c r="A12" s="73" t="s">
        <v>58</v>
      </c>
      <c r="B12" s="68" t="s">
        <v>59</v>
      </c>
      <c r="C12" s="69" t="s">
        <v>60</v>
      </c>
      <c r="D12" s="71" t="s">
        <v>61</v>
      </c>
      <c r="E12" s="71" t="s">
        <v>62</v>
      </c>
      <c r="F12" s="71" t="s">
        <v>63</v>
      </c>
      <c r="G12" s="71" t="s">
        <v>64</v>
      </c>
      <c r="H12" s="71" t="s">
        <v>65</v>
      </c>
      <c r="I12" s="72" t="s">
        <v>66</v>
      </c>
      <c r="J12" s="57"/>
    </row>
    <row r="13" spans="1:10" x14ac:dyDescent="0.2">
      <c r="A13" s="63"/>
      <c r="B13" s="64"/>
      <c r="C13" s="65" t="s">
        <v>67</v>
      </c>
      <c r="D13" s="65" t="s">
        <v>68</v>
      </c>
      <c r="E13" s="65" t="s">
        <v>69</v>
      </c>
      <c r="F13" s="65" t="s">
        <v>70</v>
      </c>
      <c r="G13" s="65" t="s">
        <v>71</v>
      </c>
      <c r="H13" s="65" t="s">
        <v>72</v>
      </c>
      <c r="I13" s="79" t="s">
        <v>73</v>
      </c>
    </row>
    <row r="14" spans="1:10" x14ac:dyDescent="0.2">
      <c r="A14" s="62" t="s">
        <v>74</v>
      </c>
      <c r="B14" s="67">
        <v>25</v>
      </c>
      <c r="C14" s="74">
        <f>(B14*12)/100</f>
        <v>3</v>
      </c>
      <c r="D14" s="75">
        <f>(B14*10)/100</f>
        <v>2.5</v>
      </c>
      <c r="E14" s="74">
        <f>(B14*8)/100</f>
        <v>2</v>
      </c>
      <c r="F14" s="74">
        <f>($B$14*6)/100</f>
        <v>1.5</v>
      </c>
      <c r="G14" s="74">
        <f>($B$14*4)/100</f>
        <v>1</v>
      </c>
      <c r="H14" s="74">
        <f>($B$14*2)/100</f>
        <v>0.5</v>
      </c>
      <c r="I14" s="76">
        <f>($B$14*1)/100</f>
        <v>0.25</v>
      </c>
    </row>
    <row r="15" spans="1:10" x14ac:dyDescent="0.2">
      <c r="A15" s="63"/>
      <c r="B15" s="67">
        <v>13</v>
      </c>
      <c r="C15" s="74">
        <f>(B15*12)/100</f>
        <v>1.56</v>
      </c>
      <c r="D15" s="74">
        <f>(B15*10)/100</f>
        <v>1.3</v>
      </c>
      <c r="E15" s="74">
        <f>(B15*8)/100</f>
        <v>1.04</v>
      </c>
      <c r="F15" s="74">
        <v>0.78</v>
      </c>
      <c r="G15" s="74">
        <v>0.52</v>
      </c>
      <c r="H15" s="74">
        <v>0.26</v>
      </c>
      <c r="I15" s="76">
        <v>0.13</v>
      </c>
    </row>
    <row r="16" spans="1:10" ht="17" thickBot="1" x14ac:dyDescent="0.25">
      <c r="A16" s="66"/>
      <c r="B16" s="70">
        <v>6</v>
      </c>
      <c r="C16" s="77">
        <f>(B16*12)/100</f>
        <v>0.72</v>
      </c>
      <c r="D16" s="77">
        <f>(B16*10)/100</f>
        <v>0.6</v>
      </c>
      <c r="E16" s="77">
        <f>(B16*8)/100</f>
        <v>0.48</v>
      </c>
      <c r="F16" s="77">
        <v>0.36</v>
      </c>
      <c r="G16" s="77">
        <v>0.24</v>
      </c>
      <c r="H16" s="77">
        <v>0.12</v>
      </c>
      <c r="I16" s="78">
        <v>0.06</v>
      </c>
    </row>
    <row r="17" spans="1:8" ht="45" thickBot="1" x14ac:dyDescent="0.25">
      <c r="A17" s="3" t="s">
        <v>75</v>
      </c>
      <c r="B17" s="30">
        <f>NEHA!G17/10</f>
        <v>0.8</v>
      </c>
      <c r="C17" s="23" t="s">
        <v>76</v>
      </c>
      <c r="D17" s="61">
        <f>NEHA!E17</f>
        <v>616</v>
      </c>
      <c r="E17" s="26" t="s">
        <v>77</v>
      </c>
      <c r="F17" s="61">
        <f>NEHA!E19</f>
        <v>154</v>
      </c>
      <c r="G17" t="s">
        <v>78</v>
      </c>
      <c r="H17" s="61">
        <f>F17*3</f>
        <v>462</v>
      </c>
    </row>
    <row r="18" spans="1:8" ht="35" thickBot="1" x14ac:dyDescent="0.25">
      <c r="B18" s="7" t="s">
        <v>79</v>
      </c>
    </row>
    <row r="19" spans="1:8" x14ac:dyDescent="0.2">
      <c r="A19" s="38">
        <f>NEHA!$E$23+NEHA!E19</f>
        <v>538</v>
      </c>
      <c r="B19" s="39">
        <f>A19/NEHA!$E$17</f>
        <v>0.87337662337662336</v>
      </c>
      <c r="C19" s="11" t="s">
        <v>80</v>
      </c>
    </row>
    <row r="20" spans="1:8" x14ac:dyDescent="0.2">
      <c r="A20" s="40">
        <f>NEHA!$E$23+NEHA!E20</f>
        <v>692</v>
      </c>
      <c r="B20" s="41">
        <f>A20/NEHA!$E$17</f>
        <v>1.1233766233766234</v>
      </c>
      <c r="C20" s="11" t="s">
        <v>81</v>
      </c>
    </row>
    <row r="21" spans="1:8" ht="17" thickBot="1" x14ac:dyDescent="0.25">
      <c r="A21" s="42">
        <f>NEHA!$E$23+NEHA!E21</f>
        <v>846</v>
      </c>
      <c r="B21" s="43">
        <f>A21/NEHA!$E$17</f>
        <v>1.3733766233766234</v>
      </c>
      <c r="C21" s="11" t="s">
        <v>82</v>
      </c>
    </row>
    <row r="23" spans="1:8" ht="24" x14ac:dyDescent="0.2">
      <c r="A23" s="85" t="s">
        <v>83</v>
      </c>
      <c r="C23" s="24">
        <f>NEHA!E23</f>
        <v>384</v>
      </c>
      <c r="D23" s="25">
        <f>NEHA!E24</f>
        <v>0.4987012987012987</v>
      </c>
    </row>
  </sheetData>
  <sheetProtection algorithmName="SHA-512" hashValue="dEacW79WVBkaRCLA5mk4EfDdqCHpX1HmPa3e5Z/e/5jFNnSnzHSh1lqKJqQ7Fg55jJ4zBD1hWjRSB7tVFjOcQQ==" saltValue="nXCQ0szSqEuBgDn7MR28sA==" spinCount="100000" sheet="1" objects="1" scenarios="1"/>
  <mergeCells count="1">
    <mergeCell ref="D7:H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NEHA</vt:lpstr>
      <vt:lpstr>Summary</vt:lpstr>
      <vt:lpstr>Advanced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PawnTrain</cp:lastModifiedBy>
  <cp:revision/>
  <dcterms:created xsi:type="dcterms:W3CDTF">2020-08-16T13:11:26Z</dcterms:created>
  <dcterms:modified xsi:type="dcterms:W3CDTF">2024-04-05T12:42:54Z</dcterms:modified>
  <cp:category/>
  <cp:contentStatus/>
</cp:coreProperties>
</file>